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ap">'Sheet1'!$B$8</definedName>
    <definedName name="cir_dir">'Sheet1'!$B$24</definedName>
    <definedName name="d_Ray">'Sheet1'!$B$23</definedName>
    <definedName name="delta">'Sheet1'!$G$31</definedName>
    <definedName name="dia">'Sheet1'!$B$7</definedName>
    <definedName name="Edge_eff">'Sheet1'!$B$37</definedName>
    <definedName name="f_Ray">'Sheet1'!$B$25</definedName>
    <definedName name="fc_term">'Sheet1'!$B$30</definedName>
    <definedName name="FGHz">'Sheet1'!$B$6</definedName>
    <definedName name="fres_cos">'Sheet1'!$G$37</definedName>
    <definedName name="fres_f">'Sheet1'!$G$34</definedName>
    <definedName name="fres_g">'Sheet1'!$G$35</definedName>
    <definedName name="fres_sin">'Sheet1'!$G$38</definedName>
    <definedName name="fres_x">'Sheet1'!$G$33</definedName>
    <definedName name="fs_term">'Sheet1'!$B$31</definedName>
    <definedName name="G_1">'Sheet1'!$B$28</definedName>
    <definedName name="G_2">'Sheet1'!$B$32</definedName>
    <definedName name="G_3">'Sheet1'!$B$35</definedName>
    <definedName name="ht">'Sheet1'!$B$9</definedName>
    <definedName name="lambda">'Sheet1'!$B$22</definedName>
    <definedName name="q">'Sheet1'!$B$29</definedName>
    <definedName name="SA">'Sheet1'!$B$36</definedName>
    <definedName name="sq_dir">'Sheet1'!$B$26</definedName>
    <definedName name="SYS_gain">'Sheet1'!$B$39</definedName>
    <definedName name="z">'Sheet1'!$B$33</definedName>
  </definedNames>
  <calcPr fullCalcOnLoad="1"/>
</workbook>
</file>

<file path=xl/sharedStrings.xml><?xml version="1.0" encoding="utf-8"?>
<sst xmlns="http://schemas.openxmlformats.org/spreadsheetml/2006/main" count="57" uniqueCount="47">
  <si>
    <t>x</t>
  </si>
  <si>
    <t>f</t>
  </si>
  <si>
    <t>g</t>
  </si>
  <si>
    <t>Frequency</t>
  </si>
  <si>
    <t>GHz</t>
  </si>
  <si>
    <t>meters</t>
  </si>
  <si>
    <t>Dish diameter</t>
  </si>
  <si>
    <t>Flyswatter Aperture</t>
  </si>
  <si>
    <t>System Gain</t>
  </si>
  <si>
    <t>Dish Gain</t>
  </si>
  <si>
    <t>dBi</t>
  </si>
  <si>
    <t>dB</t>
  </si>
  <si>
    <t>Intermediate terms -- don't mess with these</t>
  </si>
  <si>
    <t>Wavelength</t>
  </si>
  <si>
    <t>Dish Rayleigh distance</t>
  </si>
  <si>
    <t>Flyswatter Rayleigh distance</t>
  </si>
  <si>
    <t>Dish Directivity</t>
  </si>
  <si>
    <t>Flyswatter Directivity</t>
  </si>
  <si>
    <t>G1</t>
  </si>
  <si>
    <t>q</t>
  </si>
  <si>
    <t>G2</t>
  </si>
  <si>
    <t>delta</t>
  </si>
  <si>
    <t>G3</t>
  </si>
  <si>
    <t>Space Attenuation</t>
  </si>
  <si>
    <t>Edge Effect</t>
  </si>
  <si>
    <t>fc_term</t>
  </si>
  <si>
    <t>fs_term</t>
  </si>
  <si>
    <t>fres_cos(q)</t>
  </si>
  <si>
    <t>fres_sin(q)</t>
  </si>
  <si>
    <t>delta_arg</t>
  </si>
  <si>
    <t>LAMB(1,z)</t>
  </si>
  <si>
    <t>LAMB(2,z)</t>
  </si>
  <si>
    <t>ENTER INPUT PARAMETERS HERE:</t>
  </si>
  <si>
    <t>PERISCOPE ANTENNA GAIN CALCULATOR</t>
  </si>
  <si>
    <t>W1GHZ 2000</t>
  </si>
  <si>
    <t>"FEEDLINE" equivalent</t>
  </si>
  <si>
    <t>APPROXIMATIONS:</t>
  </si>
  <si>
    <t>spherical Bessel</t>
  </si>
  <si>
    <t>Fresnel sine &amp;  cosine</t>
  </si>
  <si>
    <t>LAMB(3/2,z)</t>
  </si>
  <si>
    <t>Height (reflect. Spacing)</t>
  </si>
  <si>
    <t>meters - for this height and frequency</t>
  </si>
  <si>
    <t>Suggested flyswatter =</t>
  </si>
  <si>
    <t>dB (effective gain of periscope over dish)</t>
  </si>
  <si>
    <t>Note: 1 meter = 3.28 feet</t>
  </si>
  <si>
    <t>READ FINAL RESULTS HERE:</t>
  </si>
  <si>
    <r>
      <t xml:space="preserve">Note: Analysis ToolPak must be installed.  See "BESSELJ" in </t>
    </r>
    <r>
      <rPr>
        <b/>
        <sz val="12"/>
        <color indexed="10"/>
        <rFont val="Arial"/>
        <family val="2"/>
      </rPr>
      <t>HELP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</si>
</sst>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9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53"/>
      <name val="Arial"/>
      <family val="2"/>
    </font>
    <font>
      <b/>
      <i/>
      <sz val="10"/>
      <color indexed="53"/>
      <name val="Arial"/>
      <family val="2"/>
    </font>
    <font>
      <b/>
      <u val="single"/>
      <sz val="10"/>
      <name val="Arial"/>
      <family val="2"/>
    </font>
    <font>
      <b/>
      <u val="single"/>
      <sz val="14"/>
      <color indexed="57"/>
      <name val="Arial"/>
      <family val="2"/>
    </font>
    <font>
      <b/>
      <i/>
      <u val="single"/>
      <sz val="14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D6" sqref="D6"/>
    </sheetView>
  </sheetViews>
  <sheetFormatPr defaultColWidth="9.140625" defaultRowHeight="12.75"/>
  <cols>
    <col min="1" max="1" width="25.421875" style="0" customWidth="1"/>
    <col min="2" max="2" width="12.57421875" style="0" bestFit="1" customWidth="1"/>
    <col min="5" max="5" width="6.140625" style="0" customWidth="1"/>
    <col min="6" max="6" width="10.8515625" style="0" customWidth="1"/>
  </cols>
  <sheetData>
    <row r="2" ht="23.25">
      <c r="A2" s="24" t="s">
        <v>33</v>
      </c>
    </row>
    <row r="3" ht="15">
      <c r="B3" s="14" t="s">
        <v>34</v>
      </c>
    </row>
    <row r="5" spans="1:4" ht="18">
      <c r="A5" s="23" t="s">
        <v>32</v>
      </c>
      <c r="B5" s="6"/>
      <c r="C5" s="6"/>
      <c r="D5" s="6"/>
    </row>
    <row r="6" spans="1:4" ht="15.75">
      <c r="A6" s="7" t="s">
        <v>3</v>
      </c>
      <c r="B6" s="13">
        <v>10.368</v>
      </c>
      <c r="C6" s="7" t="s">
        <v>4</v>
      </c>
      <c r="D6" s="6"/>
    </row>
    <row r="7" spans="1:5" ht="15.75">
      <c r="A7" s="7" t="s">
        <v>6</v>
      </c>
      <c r="B7" s="13">
        <v>1</v>
      </c>
      <c r="C7" s="7" t="s">
        <v>5</v>
      </c>
      <c r="D7" s="6"/>
      <c r="E7" t="s">
        <v>44</v>
      </c>
    </row>
    <row r="8" spans="1:6" ht="15.75">
      <c r="A8" s="7" t="s">
        <v>7</v>
      </c>
      <c r="B8" s="13">
        <v>1.2</v>
      </c>
      <c r="C8" s="7" t="s">
        <v>5</v>
      </c>
      <c r="D8" s="6"/>
      <c r="F8" s="4"/>
    </row>
    <row r="9" spans="1:4" ht="15.75">
      <c r="A9" s="7" t="s">
        <v>40</v>
      </c>
      <c r="B9" s="13">
        <v>20</v>
      </c>
      <c r="C9" s="7" t="s">
        <v>5</v>
      </c>
      <c r="D9" s="6"/>
    </row>
    <row r="10" spans="1:4" ht="15.75">
      <c r="A10" s="7"/>
      <c r="B10" s="13"/>
      <c r="C10" s="7"/>
      <c r="D10" s="6"/>
    </row>
    <row r="11" spans="1:6" ht="15">
      <c r="A11" s="16" t="s">
        <v>42</v>
      </c>
      <c r="B11" s="17">
        <f>SQRT(2*ht*lambda)</f>
        <v>1.075828707279838</v>
      </c>
      <c r="C11" s="16" t="s">
        <v>41</v>
      </c>
      <c r="D11" s="18"/>
      <c r="E11" s="18"/>
      <c r="F11" s="18"/>
    </row>
    <row r="12" spans="1:3" ht="15">
      <c r="A12" s="8"/>
      <c r="B12" s="9"/>
      <c r="C12" s="8"/>
    </row>
    <row r="13" spans="1:3" ht="18">
      <c r="A13" s="21" t="s">
        <v>45</v>
      </c>
      <c r="B13" s="5"/>
      <c r="C13" s="4"/>
    </row>
    <row r="14" spans="1:7" ht="15.75">
      <c r="A14" s="12" t="s">
        <v>8</v>
      </c>
      <c r="B14" s="11">
        <f>10*LOG10(SYS_gain)</f>
        <v>36.73179652105431</v>
      </c>
      <c r="C14" s="10" t="s">
        <v>10</v>
      </c>
      <c r="D14" s="19"/>
      <c r="E14" s="19"/>
      <c r="F14" s="19"/>
      <c r="G14" s="19"/>
    </row>
    <row r="15" spans="1:7" ht="15.75">
      <c r="A15" s="12" t="s">
        <v>9</v>
      </c>
      <c r="B15" s="11">
        <f>10*LOG10(0.55*cir_dir)</f>
        <v>38.11809902496223</v>
      </c>
      <c r="C15" s="10" t="s">
        <v>10</v>
      </c>
      <c r="D15" s="19"/>
      <c r="E15" s="19"/>
      <c r="F15" s="19"/>
      <c r="G15" s="19"/>
    </row>
    <row r="16" spans="1:7" ht="15.75">
      <c r="A16" s="10" t="s">
        <v>35</v>
      </c>
      <c r="B16" s="11">
        <f>B14-B15</f>
        <v>-1.3863025039079204</v>
      </c>
      <c r="C16" s="10" t="s">
        <v>43</v>
      </c>
      <c r="D16" s="19"/>
      <c r="E16" s="19"/>
      <c r="F16" s="19"/>
      <c r="G16" s="19"/>
    </row>
    <row r="17" spans="1:3" ht="15">
      <c r="A17" s="8"/>
      <c r="B17" s="8"/>
      <c r="C17" s="8"/>
    </row>
    <row r="19" spans="1:5" ht="18.75">
      <c r="A19" s="22" t="s">
        <v>12</v>
      </c>
      <c r="B19" s="3"/>
      <c r="C19" s="3"/>
      <c r="D19" s="3"/>
      <c r="E19" s="3"/>
    </row>
    <row r="20" spans="1:5" ht="15.75">
      <c r="A20" s="25" t="s">
        <v>46</v>
      </c>
      <c r="B20" s="3"/>
      <c r="C20" s="3"/>
      <c r="D20" s="3"/>
      <c r="E20" s="3"/>
    </row>
    <row r="22" spans="1:3" ht="12.75">
      <c r="A22" t="s">
        <v>13</v>
      </c>
      <c r="B22" s="2">
        <f>300/(FGHz*1000)</f>
        <v>0.028935185185185185</v>
      </c>
      <c r="C22" t="s">
        <v>5</v>
      </c>
    </row>
    <row r="23" spans="1:3" ht="12.75">
      <c r="A23" t="s">
        <v>14</v>
      </c>
      <c r="B23" s="15">
        <f>2*dia^2/lambda</f>
        <v>69.12</v>
      </c>
      <c r="C23" t="s">
        <v>5</v>
      </c>
    </row>
    <row r="24" spans="1:2" ht="12.75">
      <c r="A24" t="s">
        <v>16</v>
      </c>
      <c r="B24" s="15">
        <f>PI()^2*dia^2/lambda^2</f>
        <v>11788.192331192962</v>
      </c>
    </row>
    <row r="25" spans="1:2" ht="12.75">
      <c r="A25" t="s">
        <v>15</v>
      </c>
      <c r="B25" s="15">
        <f>2*ap^2/lambda</f>
        <v>99.5328</v>
      </c>
    </row>
    <row r="26" spans="1:2" ht="12.75">
      <c r="A26" t="s">
        <v>17</v>
      </c>
      <c r="B26" s="15">
        <f>4*PI()*ap^2/lambda^2</f>
        <v>21613.237397306875</v>
      </c>
    </row>
    <row r="27" spans="2:6" ht="12.75">
      <c r="B27" s="2"/>
      <c r="F27" s="20" t="s">
        <v>36</v>
      </c>
    </row>
    <row r="28" spans="1:6" ht="12.75">
      <c r="A28" t="s">
        <v>18</v>
      </c>
      <c r="B28" s="15">
        <f>0.6*cir_dir*(1-(0.0684*(PI()*dia^2/(4*lambda*ht))^2))</f>
        <v>6181.824918237255</v>
      </c>
      <c r="C28" s="1">
        <f>10*LOG10(G_1)</f>
        <v>37.911167008049</v>
      </c>
      <c r="D28" t="s">
        <v>10</v>
      </c>
      <c r="F28" t="s">
        <v>37</v>
      </c>
    </row>
    <row r="29" spans="1:7" ht="12.75">
      <c r="A29" t="s">
        <v>19</v>
      </c>
      <c r="B29" s="2">
        <f>ap/SQRT(2*lambda*ht)</f>
        <v>1.115419203707736</v>
      </c>
      <c r="C29" s="1"/>
      <c r="F29" t="s">
        <v>30</v>
      </c>
      <c r="G29">
        <f>BESSELJ(z,1)/(0.5*z)</f>
        <v>0.1462518415828652</v>
      </c>
    </row>
    <row r="30" spans="1:7" ht="12.75">
      <c r="A30" t="s">
        <v>25</v>
      </c>
      <c r="B30" s="2">
        <f>fres_cos^2</f>
        <v>0.5750642743985371</v>
      </c>
      <c r="C30" s="1"/>
      <c r="F30" t="s">
        <v>31</v>
      </c>
      <c r="G30">
        <f>2*BESSELJ(z,2)/((0.5*z)^2)</f>
        <v>0.3624937512131172</v>
      </c>
    </row>
    <row r="31" spans="1:7" ht="12.75">
      <c r="A31" t="s">
        <v>26</v>
      </c>
      <c r="B31" s="2">
        <f>fres_sin^2</f>
        <v>0.30350201634433854</v>
      </c>
      <c r="C31" s="1"/>
      <c r="F31" t="s">
        <v>39</v>
      </c>
      <c r="G31">
        <f>(G29+G30)/2</f>
        <v>0.2543727963979912</v>
      </c>
    </row>
    <row r="32" spans="1:6" ht="12.75">
      <c r="A32" t="s">
        <v>20</v>
      </c>
      <c r="B32" s="15">
        <f>sq_dir*((fc_term+fs_term)/q^2)^2</f>
        <v>10777.460173009116</v>
      </c>
      <c r="C32" s="1">
        <f>10*LOG10(G_2)</f>
        <v>40.32516426638491</v>
      </c>
      <c r="D32" t="s">
        <v>10</v>
      </c>
      <c r="F32" t="s">
        <v>38</v>
      </c>
    </row>
    <row r="33" spans="1:7" ht="12.75">
      <c r="A33" t="s">
        <v>29</v>
      </c>
      <c r="B33" s="2">
        <f>PI()*dia*ap/(2*lambda*ht)</f>
        <v>3.2572032632418972</v>
      </c>
      <c r="C33" s="1"/>
      <c r="F33" t="s">
        <v>0</v>
      </c>
      <c r="G33">
        <f>(q^2)*PI()/2</f>
        <v>1.954321957945138</v>
      </c>
    </row>
    <row r="34" spans="1:7" ht="12.75">
      <c r="A34" t="s">
        <v>21</v>
      </c>
      <c r="B34" s="2">
        <f>delta</f>
        <v>0.2543727963979912</v>
      </c>
      <c r="C34" s="1"/>
      <c r="F34" t="s">
        <v>1</v>
      </c>
      <c r="G34">
        <f>(1+0.926*q)/(2+1.792*q+3.104*q^2)</f>
        <v>0.2586127426548551</v>
      </c>
    </row>
    <row r="35" spans="1:7" ht="12.75">
      <c r="A35" t="s">
        <v>22</v>
      </c>
      <c r="B35" s="15">
        <f>sq_dir*((2*delta+1)/3)^2</f>
        <v>5466.499884527074</v>
      </c>
      <c r="C35" s="1">
        <f>10*LOG10(G_3)</f>
        <v>37.37709343266844</v>
      </c>
      <c r="D35" t="s">
        <v>10</v>
      </c>
      <c r="F35" t="s">
        <v>2</v>
      </c>
      <c r="G35">
        <f>1/(2+4.142*q+3.492*q^2+6.67*q^3)</f>
        <v>0.049453460209587984</v>
      </c>
    </row>
    <row r="36" spans="1:4" ht="12.75">
      <c r="A36" t="s">
        <v>23</v>
      </c>
      <c r="B36" s="2">
        <f>lambda^2/(16*PI()^2*ht^2)</f>
        <v>1.3254788826828342E-08</v>
      </c>
      <c r="C36" s="1">
        <f>10*LOG10(SA)</f>
        <v>-78.77627186985866</v>
      </c>
      <c r="D36" t="s">
        <v>11</v>
      </c>
    </row>
    <row r="37" spans="1:7" ht="12.75">
      <c r="A37" t="s">
        <v>24</v>
      </c>
      <c r="B37" s="2">
        <f>(1-lambda/(2*ap))^2</f>
        <v>0.9760327007036131</v>
      </c>
      <c r="C37" s="1">
        <f>10*LOG10(Edge_eff)</f>
        <v>-0.10535631618937723</v>
      </c>
      <c r="D37" t="s">
        <v>11</v>
      </c>
      <c r="F37" t="s">
        <v>27</v>
      </c>
      <c r="G37">
        <f>SIGN(q)*(0.5+(fres_f*SIN(fres_x))-(fres_g*COS(fres_x)))</f>
        <v>0.7583299245041943</v>
      </c>
    </row>
    <row r="38" spans="2:7" ht="12.75">
      <c r="B38" s="2"/>
      <c r="F38" t="s">
        <v>28</v>
      </c>
      <c r="G38">
        <f>SIGN(q)*(0.5-(fres_f*COS(fres_x))-(fres_g*SIN(fres_x)))</f>
        <v>0.5509101708485137</v>
      </c>
    </row>
    <row r="39" spans="1:2" ht="12.75">
      <c r="A39" t="s">
        <v>8</v>
      </c>
      <c r="B39" s="15">
        <f>G_1*G_2*G_3*SA*Edge_eff</f>
        <v>4711.721931860356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3Com Corporation</dc:creator>
  <cp:keywords/>
  <dc:description/>
  <cp:lastModifiedBy>3Com Corporation</cp:lastModifiedBy>
  <cp:lastPrinted>2000-01-31T22:26:52Z</cp:lastPrinted>
  <dcterms:created xsi:type="dcterms:W3CDTF">2000-01-17T14:33:58Z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